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ocuments\Sunair\"/>
    </mc:Choice>
  </mc:AlternateContent>
  <xr:revisionPtr revIDLastSave="0" documentId="13_ncr:1_{38987F41-3BFD-4F51-BAFA-5B734E8B1D3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172" sheetId="1" r:id="rId1"/>
  </sheets>
  <calcPr calcId="191029" concurrentCalc="0"/>
</workbook>
</file>

<file path=xl/calcChain.xml><?xml version="1.0" encoding="utf-8"?>
<calcChain xmlns="http://schemas.openxmlformats.org/spreadsheetml/2006/main">
  <c r="AB41" i="1" l="1"/>
  <c r="D11" i="1"/>
  <c r="F4" i="1"/>
  <c r="F9" i="1"/>
  <c r="F11" i="1"/>
  <c r="F13" i="1"/>
  <c r="F15" i="1"/>
  <c r="AC26" i="1"/>
  <c r="AD26" i="1"/>
  <c r="AC21" i="1"/>
  <c r="AD21" i="1"/>
  <c r="AD28" i="1"/>
  <c r="AB26" i="1"/>
  <c r="AA21" i="1"/>
  <c r="AB21" i="1"/>
  <c r="AB28" i="1"/>
  <c r="AA26" i="1"/>
  <c r="AB32" i="1"/>
  <c r="AA39" i="1"/>
  <c r="Y39" i="1"/>
  <c r="AA38" i="1"/>
  <c r="Y38" i="1"/>
  <c r="AA37" i="1"/>
  <c r="Y37" i="1"/>
  <c r="AA36" i="1"/>
  <c r="Y36" i="1"/>
  <c r="Y35" i="1"/>
  <c r="H4" i="1"/>
  <c r="U20" i="1"/>
  <c r="U21" i="1"/>
  <c r="J4" i="1"/>
  <c r="J5" i="1"/>
  <c r="J6" i="1"/>
  <c r="J7" i="1"/>
  <c r="J9" i="1"/>
  <c r="J11" i="1"/>
  <c r="J13" i="1"/>
  <c r="J15" i="1"/>
  <c r="H15" i="1"/>
  <c r="H11" i="1"/>
  <c r="L4" i="1"/>
</calcChain>
</file>

<file path=xl/sharedStrings.xml><?xml version="1.0" encoding="utf-8"?>
<sst xmlns="http://schemas.openxmlformats.org/spreadsheetml/2006/main" count="63" uniqueCount="40">
  <si>
    <t>Kgs</t>
  </si>
  <si>
    <t>Arm</t>
  </si>
  <si>
    <t>Moment</t>
  </si>
  <si>
    <t>Print Date</t>
  </si>
  <si>
    <t>Empty A/C</t>
  </si>
  <si>
    <t>x</t>
  </si>
  <si>
    <t>=</t>
  </si>
  <si>
    <t>+</t>
  </si>
  <si>
    <t>Total Moments )</t>
  </si>
  <si>
    <t>(Divide by T/O Wgt for ARM 1)</t>
  </si>
  <si>
    <t>-</t>
  </si>
  <si>
    <t>Less Fuel burn</t>
  </si>
  <si>
    <t xml:space="preserve">Final total </t>
  </si>
  <si>
    <t>(Divide by LDG- Wgt for ARM 2)</t>
  </si>
  <si>
    <t>OP DATA</t>
  </si>
  <si>
    <t>Fuel (Litres)</t>
  </si>
  <si>
    <t>Fuel Burn (Litres)</t>
  </si>
  <si>
    <t>TOW</t>
  </si>
  <si>
    <t>LW</t>
  </si>
  <si>
    <t>Applicable Limit</t>
  </si>
  <si>
    <t>Graph Range Switch</t>
  </si>
  <si>
    <t>ZK-CBZ</t>
  </si>
  <si>
    <t>ZK-DPN</t>
  </si>
  <si>
    <t>Pilot &amp; Passenger - Row 1</t>
  </si>
  <si>
    <t>Passengers - Row 2</t>
  </si>
  <si>
    <t>FWD LIMIT CALCULATIONS (ZK-CBZ)</t>
  </si>
  <si>
    <t>Under 884.5kg</t>
  </si>
  <si>
    <t>884.5-1157kg</t>
  </si>
  <si>
    <t>T/O Weight</t>
  </si>
  <si>
    <t>( Max</t>
  </si>
  <si>
    <t>EW</t>
  </si>
  <si>
    <t>MTOW</t>
  </si>
  <si>
    <t>GRAPH ENVELOPE DATA</t>
  </si>
  <si>
    <t>FWD LIMIT CALCULATIONS (ZK-DPN)</t>
  </si>
  <si>
    <t>884.5-1043.2kg</t>
  </si>
  <si>
    <t>Switched Graph Envelope Values</t>
  </si>
  <si>
    <t>kg )</t>
  </si>
  <si>
    <t>Landing Weight</t>
  </si>
  <si>
    <t>Baggage/Cargo - Rear ( 54kg max )</t>
  </si>
  <si>
    <t>Fuel Burn &gt; Fuel Load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</si>
</sst>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3" fillId="0" borderId="0" xfId="0" applyFont="1"/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3" borderId="0" xfId="0" applyFont="1" applyFill="1"/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/>
    <xf numFmtId="1" fontId="3" fillId="3" borderId="0" xfId="0" applyNumberFormat="1" applyFont="1" applyFill="1"/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/>
    <xf numFmtId="0" fontId="3" fillId="0" borderId="14" xfId="0" applyFont="1" applyBorder="1"/>
    <xf numFmtId="0" fontId="3" fillId="0" borderId="21" xfId="0" applyFont="1" applyFill="1" applyBorder="1"/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15" xfId="0" applyFont="1" applyFill="1" applyBorder="1"/>
    <xf numFmtId="0" fontId="3" fillId="0" borderId="0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19" xfId="0" applyFont="1" applyBorder="1"/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 applyProtection="1">
      <alignment vertical="center"/>
    </xf>
    <xf numFmtId="1" fontId="3" fillId="4" borderId="1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Alignment="1">
      <alignment vertical="center"/>
    </xf>
    <xf numFmtId="1" fontId="3" fillId="0" borderId="1" xfId="0" applyNumberFormat="1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'C172'!$Y$35:$Y$39</c:f>
              <c:numCache>
                <c:formatCode>General</c:formatCode>
                <c:ptCount val="5"/>
                <c:pt idx="0">
                  <c:v>0.88900000000000001</c:v>
                </c:pt>
                <c:pt idx="1">
                  <c:v>0.88900000000000001</c:v>
                </c:pt>
                <c:pt idx="2">
                  <c:v>1.0409999999999999</c:v>
                </c:pt>
                <c:pt idx="3">
                  <c:v>1.2010000000000001</c:v>
                </c:pt>
                <c:pt idx="4">
                  <c:v>1.2010000000000001</c:v>
                </c:pt>
              </c:numCache>
            </c:numRef>
          </c:xVal>
          <c:yVal>
            <c:numRef>
              <c:f>'C172'!$AA$35:$AA$39</c:f>
              <c:numCache>
                <c:formatCode>General</c:formatCode>
                <c:ptCount val="5"/>
                <c:pt idx="0">
                  <c:v>0</c:v>
                </c:pt>
                <c:pt idx="1">
                  <c:v>884.5</c:v>
                </c:pt>
                <c:pt idx="2">
                  <c:v>1157</c:v>
                </c:pt>
                <c:pt idx="3">
                  <c:v>1157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4-4922-BC45-18FED2A47688}"/>
            </c:ext>
          </c:extLst>
        </c:ser>
        <c:ser>
          <c:idx val="1"/>
          <c:order val="1"/>
          <c:tx>
            <c:v>TOW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'C172'!$H$11</c:f>
              <c:numCache>
                <c:formatCode>0.00</c:formatCode>
                <c:ptCount val="1"/>
                <c:pt idx="0">
                  <c:v>1.1869159369527147</c:v>
                </c:pt>
              </c:numCache>
            </c:numRef>
          </c:xVal>
          <c:yVal>
            <c:numRef>
              <c:f>'C172'!$F$11</c:f>
              <c:numCache>
                <c:formatCode>0</c:formatCode>
                <c:ptCount val="1"/>
                <c:pt idx="0">
                  <c:v>1142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64-4922-BC45-18FED2A47688}"/>
            </c:ext>
          </c:extLst>
        </c:ser>
        <c:ser>
          <c:idx val="2"/>
          <c:order val="2"/>
          <c:tx>
            <c:v>LW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'C172'!$H$15</c:f>
              <c:numCache>
                <c:formatCode>0.00</c:formatCode>
                <c:ptCount val="1"/>
                <c:pt idx="0">
                  <c:v>1.1849858893427405</c:v>
                </c:pt>
              </c:numCache>
            </c:numRef>
          </c:xVal>
          <c:yVal>
            <c:numRef>
              <c:f>'C172'!$F$15</c:f>
              <c:numCache>
                <c:formatCode>0</c:formatCode>
                <c:ptCount val="1"/>
                <c:pt idx="0">
                  <c:v>1077.2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64-4922-BC45-18FED2A4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4544720"/>
        <c:axId val="-1264539824"/>
      </c:scatterChart>
      <c:valAx>
        <c:axId val="-1264544720"/>
        <c:scaling>
          <c:orientation val="minMax"/>
          <c:min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4539824"/>
        <c:crosses val="autoZero"/>
        <c:crossBetween val="midCat"/>
      </c:valAx>
      <c:valAx>
        <c:axId val="-1264539824"/>
        <c:scaling>
          <c:orientation val="minMax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454472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63500</xdr:rowOff>
    </xdr:from>
    <xdr:to>
      <xdr:col>11</xdr:col>
      <xdr:colOff>800100</xdr:colOff>
      <xdr:row>1</xdr:row>
      <xdr:rowOff>254000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2900" y="63500"/>
          <a:ext cx="6781800" cy="342900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SUNAIR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AVIATION Ltd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Weight and Balance worksheet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C172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Kgs : 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SA33C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Rev 1</a:t>
          </a:r>
        </a:p>
      </xdr:txBody>
    </xdr:sp>
    <xdr:clientData/>
  </xdr:twoCellAnchor>
  <xdr:twoCellAnchor>
    <xdr:from>
      <xdr:col>1</xdr:col>
      <xdr:colOff>238125</xdr:colOff>
      <xdr:row>16</xdr:row>
      <xdr:rowOff>138113</xdr:rowOff>
    </xdr:from>
    <xdr:to>
      <xdr:col>9</xdr:col>
      <xdr:colOff>619125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1"/>
  <sheetViews>
    <sheetView tabSelected="1" workbookViewId="0">
      <selection activeCell="E13" sqref="E13"/>
    </sheetView>
  </sheetViews>
  <sheetFormatPr defaultColWidth="8.85546875" defaultRowHeight="12.75" x14ac:dyDescent="0.2"/>
  <cols>
    <col min="1" max="1" width="4" customWidth="1"/>
    <col min="2" max="2" width="12.85546875" customWidth="1"/>
    <col min="3" max="3" width="5.140625" customWidth="1"/>
    <col min="4" max="4" width="5" bestFit="1" customWidth="1"/>
    <col min="5" max="5" width="11.5703125" customWidth="1"/>
    <col min="6" max="6" width="11.28515625" customWidth="1"/>
    <col min="7" max="7" width="4.85546875" customWidth="1"/>
    <col min="9" max="9" width="3.28515625" customWidth="1"/>
    <col min="10" max="10" width="11.7109375" customWidth="1"/>
    <col min="11" max="11" width="3.140625" customWidth="1"/>
    <col min="12" max="12" width="12.140625" customWidth="1"/>
    <col min="13" max="13" width="10.42578125" customWidth="1"/>
    <col min="17" max="31" width="0" hidden="1" customWidth="1"/>
  </cols>
  <sheetData>
    <row r="2" spans="1:12" ht="23.25" customHeight="1" thickBot="1" x14ac:dyDescent="0.25"/>
    <row r="3" spans="1:12" ht="16.5" customHeight="1" x14ac:dyDescent="0.2">
      <c r="A3" s="4"/>
      <c r="B3" s="4"/>
      <c r="C3" s="4"/>
      <c r="D3" s="4"/>
      <c r="E3" s="4"/>
      <c r="F3" s="11" t="s">
        <v>0</v>
      </c>
      <c r="G3" s="4"/>
      <c r="H3" s="11" t="s">
        <v>1</v>
      </c>
      <c r="I3" s="4"/>
      <c r="J3" s="11" t="s">
        <v>2</v>
      </c>
      <c r="K3" s="11"/>
      <c r="L3" s="5" t="s">
        <v>3</v>
      </c>
    </row>
    <row r="4" spans="1:12" ht="20.100000000000001" customHeight="1" thickBot="1" x14ac:dyDescent="0.25">
      <c r="A4" s="4"/>
      <c r="B4" s="38" t="s">
        <v>4</v>
      </c>
      <c r="C4" s="38"/>
      <c r="D4" s="41"/>
      <c r="E4" s="42" t="s">
        <v>21</v>
      </c>
      <c r="F4" s="56">
        <f>VLOOKUP(E4,R20:T21,2,FALSE)</f>
        <v>700</v>
      </c>
      <c r="G4" s="43" t="s">
        <v>5</v>
      </c>
      <c r="H4" s="44">
        <f>VLOOKUP(E4,R20:T21,3,FALSE)</f>
        <v>1</v>
      </c>
      <c r="I4" s="43" t="s">
        <v>6</v>
      </c>
      <c r="J4" s="45">
        <f t="shared" ref="J4:J7" si="0">F4*H4</f>
        <v>700</v>
      </c>
      <c r="K4" s="46"/>
      <c r="L4" s="6">
        <f ca="1">TODAY()</f>
        <v>44081</v>
      </c>
    </row>
    <row r="5" spans="1:12" ht="20.100000000000001" customHeight="1" x14ac:dyDescent="0.2">
      <c r="A5" s="4"/>
      <c r="B5" s="38" t="s">
        <v>23</v>
      </c>
      <c r="C5" s="38"/>
      <c r="D5" s="38"/>
      <c r="E5" s="41"/>
      <c r="F5" s="57">
        <v>160</v>
      </c>
      <c r="G5" s="43" t="s">
        <v>5</v>
      </c>
      <c r="H5" s="47">
        <v>0.94</v>
      </c>
      <c r="I5" s="43" t="s">
        <v>6</v>
      </c>
      <c r="J5" s="45">
        <f t="shared" si="0"/>
        <v>150.39999999999998</v>
      </c>
      <c r="K5" s="46" t="s">
        <v>7</v>
      </c>
    </row>
    <row r="6" spans="1:12" ht="20.100000000000001" customHeight="1" x14ac:dyDescent="0.2">
      <c r="A6" s="4"/>
      <c r="B6" s="39" t="s">
        <v>24</v>
      </c>
      <c r="C6" s="39"/>
      <c r="D6" s="39"/>
      <c r="E6" s="48"/>
      <c r="F6" s="57">
        <v>160</v>
      </c>
      <c r="G6" s="43" t="s">
        <v>5</v>
      </c>
      <c r="H6" s="47">
        <v>1.8540000000000001</v>
      </c>
      <c r="I6" s="43" t="s">
        <v>6</v>
      </c>
      <c r="J6" s="45">
        <f t="shared" si="0"/>
        <v>296.64</v>
      </c>
      <c r="K6" s="46" t="s">
        <v>7</v>
      </c>
    </row>
    <row r="7" spans="1:12" ht="20.100000000000001" customHeight="1" x14ac:dyDescent="0.2">
      <c r="A7" s="4"/>
      <c r="B7" s="39" t="s">
        <v>38</v>
      </c>
      <c r="C7" s="39"/>
      <c r="D7" s="39"/>
      <c r="E7" s="48"/>
      <c r="F7" s="57">
        <v>50</v>
      </c>
      <c r="G7" s="43" t="s">
        <v>5</v>
      </c>
      <c r="H7" s="47">
        <v>2.4129999999999998</v>
      </c>
      <c r="I7" s="43" t="s">
        <v>6</v>
      </c>
      <c r="J7" s="45">
        <f t="shared" si="0"/>
        <v>120.64999999999999</v>
      </c>
      <c r="K7" s="46" t="s">
        <v>7</v>
      </c>
    </row>
    <row r="8" spans="1:12" ht="9.75" customHeight="1" x14ac:dyDescent="0.2">
      <c r="A8" s="4"/>
      <c r="B8" s="49"/>
      <c r="C8" s="49"/>
      <c r="D8" s="49"/>
      <c r="E8" s="49"/>
      <c r="F8" s="58"/>
      <c r="G8" s="50"/>
      <c r="H8" s="51"/>
      <c r="I8" s="43"/>
      <c r="J8" s="51"/>
      <c r="K8" s="52"/>
    </row>
    <row r="9" spans="1:12" ht="20.100000000000001" customHeight="1" x14ac:dyDescent="0.2">
      <c r="A9" s="4"/>
      <c r="B9" s="38" t="s">
        <v>15</v>
      </c>
      <c r="C9" s="38"/>
      <c r="D9" s="41"/>
      <c r="E9" s="42">
        <v>100</v>
      </c>
      <c r="F9" s="59">
        <f>+E9*0.72</f>
        <v>72</v>
      </c>
      <c r="G9" s="43" t="s">
        <v>5</v>
      </c>
      <c r="H9" s="47">
        <v>1.2190000000000001</v>
      </c>
      <c r="I9" s="43" t="s">
        <v>6</v>
      </c>
      <c r="J9" s="45">
        <f>F9*H9</f>
        <v>87.768000000000001</v>
      </c>
      <c r="K9" s="46" t="s">
        <v>7</v>
      </c>
    </row>
    <row r="10" spans="1:12" ht="9.75" customHeight="1" thickBot="1" x14ac:dyDescent="0.25">
      <c r="A10" s="4"/>
      <c r="B10" s="49"/>
      <c r="C10" s="49"/>
      <c r="D10" s="49"/>
      <c r="E10" s="49"/>
      <c r="F10" s="58"/>
      <c r="G10" s="50"/>
      <c r="H10" s="51"/>
      <c r="I10" s="43"/>
      <c r="J10" s="45"/>
      <c r="K10" s="52"/>
    </row>
    <row r="11" spans="1:12" ht="20.100000000000001" customHeight="1" thickTop="1" thickBot="1" x14ac:dyDescent="0.25">
      <c r="A11" s="4"/>
      <c r="B11" s="37" t="s">
        <v>28</v>
      </c>
      <c r="C11" s="53" t="s">
        <v>29</v>
      </c>
      <c r="D11" s="54">
        <f>IF(E4="ZK-CBZ",V20,V21)</f>
        <v>1157</v>
      </c>
      <c r="E11" s="40" t="s">
        <v>36</v>
      </c>
      <c r="F11" s="60">
        <f>+SUM(F4:F9)</f>
        <v>1142</v>
      </c>
      <c r="G11" s="43"/>
      <c r="H11" s="8">
        <f>+J11/F11</f>
        <v>1.1869159369527147</v>
      </c>
      <c r="I11" s="43"/>
      <c r="J11" s="45">
        <f>SUM(J4:J9)</f>
        <v>1355.4580000000001</v>
      </c>
      <c r="K11" s="46" t="s">
        <v>6</v>
      </c>
      <c r="L11" s="3" t="s">
        <v>8</v>
      </c>
    </row>
    <row r="12" spans="1:12" ht="9.75" customHeight="1" thickTop="1" x14ac:dyDescent="0.2">
      <c r="A12" s="4"/>
      <c r="B12" s="49"/>
      <c r="C12" s="49"/>
      <c r="D12" s="49"/>
      <c r="E12" s="49"/>
      <c r="F12" s="58"/>
      <c r="G12" s="50"/>
      <c r="H12" s="51"/>
      <c r="I12" s="43"/>
      <c r="J12" s="45"/>
      <c r="K12" s="52"/>
      <c r="L12" s="3" t="s">
        <v>9</v>
      </c>
    </row>
    <row r="13" spans="1:12" ht="20.100000000000001" customHeight="1" x14ac:dyDescent="0.2">
      <c r="A13" s="4"/>
      <c r="B13" s="38" t="s">
        <v>16</v>
      </c>
      <c r="C13" s="38"/>
      <c r="D13" s="41"/>
      <c r="E13" s="42">
        <v>90</v>
      </c>
      <c r="F13" s="59">
        <f>+E13*0.72</f>
        <v>64.8</v>
      </c>
      <c r="G13" s="43" t="s">
        <v>5</v>
      </c>
      <c r="H13" s="47">
        <v>1.2190000000000001</v>
      </c>
      <c r="I13" s="43" t="s">
        <v>6</v>
      </c>
      <c r="J13" s="45">
        <f>F13*H13</f>
        <v>78.991200000000006</v>
      </c>
      <c r="K13" s="46" t="s">
        <v>10</v>
      </c>
      <c r="L13" s="3" t="s">
        <v>11</v>
      </c>
    </row>
    <row r="14" spans="1:12" ht="9.75" customHeight="1" thickBot="1" x14ac:dyDescent="0.25">
      <c r="A14" s="4"/>
      <c r="B14" s="49"/>
      <c r="C14" s="49"/>
      <c r="D14" s="49"/>
      <c r="E14" s="49"/>
      <c r="F14" s="58"/>
      <c r="G14" s="50"/>
      <c r="H14" s="51"/>
      <c r="I14" s="43"/>
      <c r="J14" s="51"/>
      <c r="K14" s="50"/>
    </row>
    <row r="15" spans="1:12" ht="20.100000000000001" customHeight="1" thickTop="1" thickBot="1" x14ac:dyDescent="0.25">
      <c r="A15" s="4"/>
      <c r="B15" s="37" t="s">
        <v>37</v>
      </c>
      <c r="C15" s="38"/>
      <c r="D15" s="38"/>
      <c r="E15" s="40"/>
      <c r="F15" s="60">
        <f>F11-F13</f>
        <v>1077.2</v>
      </c>
      <c r="G15" s="43"/>
      <c r="H15" s="8">
        <f>+J15/F15</f>
        <v>1.1849858893427405</v>
      </c>
      <c r="I15" s="43"/>
      <c r="J15" s="55">
        <f>+J11-J13</f>
        <v>1276.4668000000001</v>
      </c>
      <c r="K15" s="46" t="s">
        <v>6</v>
      </c>
      <c r="L15" s="3" t="s">
        <v>12</v>
      </c>
    </row>
    <row r="16" spans="1:12" ht="9.75" customHeight="1" thickTop="1" x14ac:dyDescent="0.2">
      <c r="E16" s="7"/>
      <c r="F16" s="7"/>
      <c r="G16" s="7"/>
      <c r="H16" s="7"/>
      <c r="I16" s="9"/>
      <c r="J16" s="7"/>
      <c r="L16" s="3" t="s">
        <v>13</v>
      </c>
    </row>
    <row r="17" spans="2:30" ht="15" customHeight="1" x14ac:dyDescent="0.2">
      <c r="B17" s="1"/>
      <c r="C17" s="1"/>
      <c r="D17" s="1"/>
      <c r="E17" s="10"/>
      <c r="F17" s="10"/>
      <c r="G17" s="10"/>
      <c r="H17" s="10"/>
      <c r="I17" s="12"/>
      <c r="J17" s="13"/>
      <c r="K17" s="2"/>
    </row>
    <row r="18" spans="2:30" s="4" customFormat="1" ht="15" customHeight="1" x14ac:dyDescent="0.2">
      <c r="R18" s="21" t="s">
        <v>14</v>
      </c>
      <c r="S18" s="22"/>
      <c r="T18" s="22"/>
      <c r="U18" s="22"/>
      <c r="V18" s="23"/>
      <c r="Y18" s="4" t="s">
        <v>25</v>
      </c>
    </row>
    <row r="19" spans="2:30" s="4" customFormat="1" ht="15" customHeight="1" x14ac:dyDescent="0.2">
      <c r="R19" s="24"/>
      <c r="S19" s="25" t="s">
        <v>30</v>
      </c>
      <c r="T19" s="25" t="s">
        <v>1</v>
      </c>
      <c r="U19" s="20" t="s">
        <v>2</v>
      </c>
      <c r="V19" s="26" t="s">
        <v>31</v>
      </c>
      <c r="AA19" s="11" t="s">
        <v>17</v>
      </c>
      <c r="AC19" s="11" t="s">
        <v>18</v>
      </c>
    </row>
    <row r="20" spans="2:30" s="4" customFormat="1" ht="15" customHeight="1" x14ac:dyDescent="0.2">
      <c r="R20" s="27" t="s">
        <v>21</v>
      </c>
      <c r="S20" s="15">
        <v>700</v>
      </c>
      <c r="T20" s="16">
        <v>1</v>
      </c>
      <c r="U20" s="17">
        <f>S20*T20</f>
        <v>700</v>
      </c>
      <c r="V20" s="28">
        <v>1157</v>
      </c>
      <c r="Y20" s="4" t="s">
        <v>26</v>
      </c>
      <c r="AA20" s="19">
        <v>0.88900000000000001</v>
      </c>
      <c r="AB20" s="19"/>
      <c r="AC20" s="19">
        <v>0.88900000000000001</v>
      </c>
      <c r="AD20" s="19"/>
    </row>
    <row r="21" spans="2:30" s="4" customFormat="1" ht="15" customHeight="1" x14ac:dyDescent="0.2">
      <c r="R21" s="29" t="s">
        <v>22</v>
      </c>
      <c r="S21" s="30">
        <v>655</v>
      </c>
      <c r="T21" s="31">
        <v>0.95</v>
      </c>
      <c r="U21" s="17">
        <f>S21*T21</f>
        <v>622.25</v>
      </c>
      <c r="V21" s="28">
        <v>1043</v>
      </c>
      <c r="Y21" s="4" t="s">
        <v>27</v>
      </c>
      <c r="AA21" s="19">
        <f>(($F$11-884.5)*0.000560807)+0.889</f>
        <v>1.0334078025</v>
      </c>
      <c r="AB21" s="19">
        <f>IF($F$11&lt;884.5,$AA$20,$AA$21)</f>
        <v>1.0334078025</v>
      </c>
      <c r="AC21" s="19">
        <f>(($F$15-884.5)*0.000560807)+0.889</f>
        <v>0.99706750890000007</v>
      </c>
      <c r="AD21" s="19">
        <f>IF($F$15&lt;884.5,$AC$20,$AC$21)</f>
        <v>0.99706750890000007</v>
      </c>
    </row>
    <row r="22" spans="2:30" s="4" customFormat="1" ht="15" customHeight="1" x14ac:dyDescent="0.2">
      <c r="AA22" s="19"/>
      <c r="AB22" s="19"/>
      <c r="AC22" s="19"/>
      <c r="AD22" s="19"/>
    </row>
    <row r="23" spans="2:30" s="4" customFormat="1" ht="15" customHeight="1" x14ac:dyDescent="0.2">
      <c r="R23" s="32" t="s">
        <v>32</v>
      </c>
      <c r="S23" s="22"/>
      <c r="T23" s="23"/>
      <c r="Y23" s="4" t="s">
        <v>33</v>
      </c>
    </row>
    <row r="24" spans="2:30" s="4" customFormat="1" ht="15" customHeight="1" x14ac:dyDescent="0.2">
      <c r="R24" s="24" t="s">
        <v>21</v>
      </c>
      <c r="S24" s="33"/>
      <c r="T24" s="34"/>
      <c r="AA24" s="11" t="s">
        <v>17</v>
      </c>
      <c r="AC24" s="11" t="s">
        <v>18</v>
      </c>
    </row>
    <row r="25" spans="2:30" s="4" customFormat="1" ht="15" customHeight="1" x14ac:dyDescent="0.2">
      <c r="R25" s="24">
        <v>0.88900000000000001</v>
      </c>
      <c r="S25" s="33">
        <v>0</v>
      </c>
      <c r="T25" s="34"/>
      <c r="Y25" s="4" t="s">
        <v>26</v>
      </c>
      <c r="AA25" s="19">
        <v>0.88900000000000001</v>
      </c>
      <c r="AB25" s="19"/>
      <c r="AC25" s="19">
        <v>0.88900000000000001</v>
      </c>
      <c r="AD25" s="19"/>
    </row>
    <row r="26" spans="2:30" s="4" customFormat="1" ht="15" customHeight="1" x14ac:dyDescent="0.2">
      <c r="R26" s="24">
        <v>0.88900000000000001</v>
      </c>
      <c r="S26" s="33">
        <v>884.5</v>
      </c>
      <c r="T26" s="34"/>
      <c r="Y26" s="4" t="s">
        <v>34</v>
      </c>
      <c r="AA26" s="19">
        <f>(($F$11-884.5)*0.000560807)+0.889</f>
        <v>1.0334078025</v>
      </c>
      <c r="AB26" s="19">
        <f>IF($F$11&lt;1606,$AA$25,IF($F$11&lt;2268,$AA$26,$AA$27))</f>
        <v>0.88900000000000001</v>
      </c>
      <c r="AC26" s="19">
        <f>(($F$15-884.5)*0.000560807)+0.889</f>
        <v>0.99706750890000007</v>
      </c>
      <c r="AD26" s="19">
        <f>IF($F$15&lt;884.5,$AC$25,$AC$26)</f>
        <v>0.99706750890000007</v>
      </c>
    </row>
    <row r="27" spans="2:30" s="4" customFormat="1" ht="15" customHeight="1" x14ac:dyDescent="0.2">
      <c r="R27" s="24">
        <v>1.0409999999999999</v>
      </c>
      <c r="S27" s="33">
        <v>1157</v>
      </c>
      <c r="T27" s="34"/>
      <c r="AA27" s="19"/>
      <c r="AB27" s="19"/>
      <c r="AC27" s="19"/>
      <c r="AD27" s="19"/>
    </row>
    <row r="28" spans="2:30" s="4" customFormat="1" ht="15" customHeight="1" x14ac:dyDescent="0.2">
      <c r="R28" s="24">
        <v>1.2010000000000001</v>
      </c>
      <c r="S28" s="33">
        <v>1157</v>
      </c>
      <c r="T28" s="34"/>
      <c r="Y28" s="4" t="s">
        <v>19</v>
      </c>
      <c r="AA28" s="19"/>
      <c r="AB28" s="19">
        <f>IF($E$4="ZK-CBZ",$AB$21,$AB$26)</f>
        <v>1.0334078025</v>
      </c>
      <c r="AC28" s="19"/>
      <c r="AD28" s="19">
        <f>IF($E$4="ZK-CBZ",$AD$21,$AD$26)</f>
        <v>0.99706750890000007</v>
      </c>
    </row>
    <row r="29" spans="2:30" s="4" customFormat="1" ht="15" customHeight="1" x14ac:dyDescent="0.2">
      <c r="R29" s="24">
        <v>1.2010000000000001</v>
      </c>
      <c r="S29" s="33">
        <v>0</v>
      </c>
      <c r="T29" s="34"/>
    </row>
    <row r="30" spans="2:30" s="4" customFormat="1" ht="15" customHeight="1" x14ac:dyDescent="0.2">
      <c r="R30" s="24"/>
      <c r="S30" s="33"/>
      <c r="T30" s="34"/>
    </row>
    <row r="31" spans="2:30" s="4" customFormat="1" ht="15" customHeight="1" x14ac:dyDescent="0.2">
      <c r="R31" s="24" t="s">
        <v>22</v>
      </c>
      <c r="S31" s="33"/>
      <c r="T31" s="34"/>
    </row>
    <row r="32" spans="2:30" s="4" customFormat="1" ht="15" customHeight="1" x14ac:dyDescent="0.2">
      <c r="R32" s="24">
        <v>0.88900000000000001</v>
      </c>
      <c r="S32" s="33">
        <v>0</v>
      </c>
      <c r="T32" s="34"/>
      <c r="Y32" s="14" t="s">
        <v>20</v>
      </c>
      <c r="Z32" s="14"/>
      <c r="AA32" s="14"/>
      <c r="AB32" s="18">
        <f>IF($E$4="ZK-DPN",0,1)</f>
        <v>1</v>
      </c>
    </row>
    <row r="33" spans="18:30" s="4" customFormat="1" ht="15" customHeight="1" x14ac:dyDescent="0.2">
      <c r="R33" s="24">
        <v>0.88900000000000001</v>
      </c>
      <c r="S33" s="33">
        <v>884.5</v>
      </c>
      <c r="T33" s="34"/>
      <c r="Y33" s="14"/>
      <c r="Z33" s="14"/>
      <c r="AA33" s="14"/>
      <c r="AB33" s="14"/>
    </row>
    <row r="34" spans="18:30" s="4" customFormat="1" ht="15" customHeight="1" x14ac:dyDescent="0.2">
      <c r="R34" s="24">
        <v>0.97799999999999998</v>
      </c>
      <c r="S34" s="33">
        <v>1043.2</v>
      </c>
      <c r="T34" s="34"/>
      <c r="Y34" s="14" t="s">
        <v>35</v>
      </c>
      <c r="Z34" s="14"/>
      <c r="AA34" s="14"/>
      <c r="AB34" s="14"/>
    </row>
    <row r="35" spans="18:30" s="4" customFormat="1" ht="15" customHeight="1" x14ac:dyDescent="0.2">
      <c r="R35" s="24">
        <v>1.2010000000000001</v>
      </c>
      <c r="S35" s="33">
        <v>1043.2</v>
      </c>
      <c r="T35" s="34"/>
      <c r="Y35" s="14">
        <f>IF($AB$32=0,R32,R25)</f>
        <v>0.88900000000000001</v>
      </c>
      <c r="Z35" s="14"/>
      <c r="AA35" s="14">
        <v>0</v>
      </c>
      <c r="AB35" s="14"/>
    </row>
    <row r="36" spans="18:30" s="4" customFormat="1" ht="15" customHeight="1" x14ac:dyDescent="0.2">
      <c r="R36" s="35">
        <v>1.2010000000000001</v>
      </c>
      <c r="S36" s="30">
        <v>0</v>
      </c>
      <c r="T36" s="36"/>
      <c r="Y36" s="14">
        <f>IF($AB$32=0,R33,R26)</f>
        <v>0.88900000000000001</v>
      </c>
      <c r="Z36" s="14"/>
      <c r="AA36" s="14">
        <f>IF($AB$32=0,S33,S26)</f>
        <v>884.5</v>
      </c>
      <c r="AB36" s="14"/>
    </row>
    <row r="37" spans="18:30" x14ac:dyDescent="0.2">
      <c r="Y37" s="14">
        <f>IF($AB$32=0,R34,R27)</f>
        <v>1.0409999999999999</v>
      </c>
      <c r="Z37" s="14"/>
      <c r="AA37" s="14">
        <f>IF($AB$32=0,S34,S27)</f>
        <v>1157</v>
      </c>
      <c r="AB37" s="14"/>
      <c r="AC37" s="4"/>
      <c r="AD37" s="4"/>
    </row>
    <row r="38" spans="18:30" x14ac:dyDescent="0.2">
      <c r="Y38" s="14">
        <f>IF($AB$32=0,R35,R28)</f>
        <v>1.2010000000000001</v>
      </c>
      <c r="Z38" s="14"/>
      <c r="AA38" s="14">
        <f>IF($AB$32=0,S35,S28)</f>
        <v>1157</v>
      </c>
      <c r="AB38" s="14"/>
      <c r="AC38" s="4"/>
      <c r="AD38" s="4"/>
    </row>
    <row r="39" spans="18:30" x14ac:dyDescent="0.2">
      <c r="Y39" s="14">
        <f>IF($AB$32=0,R36,R29)</f>
        <v>1.2010000000000001</v>
      </c>
      <c r="Z39" s="14"/>
      <c r="AA39" s="14">
        <f>IF($AB$32=0,S36,S29)</f>
        <v>0</v>
      </c>
      <c r="AB39" s="14"/>
      <c r="AC39" s="4"/>
      <c r="AD39" s="4"/>
    </row>
    <row r="41" spans="18:30" x14ac:dyDescent="0.2">
      <c r="Y41" t="s">
        <v>39</v>
      </c>
      <c r="AB41">
        <f>IF(E13&gt;=E9,1,0)</f>
        <v>0</v>
      </c>
    </row>
  </sheetData>
  <sheetProtection selectLockedCells="1"/>
  <phoneticPr fontId="0" type="noConversion"/>
  <conditionalFormatting sqref="F11">
    <cfRule type="cellIs" dxfId="9" priority="12" operator="lessThanOrEqual">
      <formula>$D$11</formula>
    </cfRule>
    <cfRule type="cellIs" dxfId="8" priority="13" operator="greaterThan">
      <formula>$D$11</formula>
    </cfRule>
  </conditionalFormatting>
  <conditionalFormatting sqref="H11">
    <cfRule type="cellIs" dxfId="7" priority="32" operator="between">
      <formula>$AB$28</formula>
      <formula>1.201</formula>
    </cfRule>
    <cfRule type="cellIs" dxfId="6" priority="33" operator="lessThan">
      <formula>$AB$28</formula>
    </cfRule>
    <cfRule type="cellIs" dxfId="5" priority="34" operator="greaterThan">
      <formula>1.201</formula>
    </cfRule>
  </conditionalFormatting>
  <conditionalFormatting sqref="H15">
    <cfRule type="cellIs" dxfId="4" priority="35" operator="between">
      <formula>$AD$28</formula>
      <formula>1.201</formula>
    </cfRule>
    <cfRule type="cellIs" dxfId="3" priority="36" operator="lessThan">
      <formula>$AD$28</formula>
    </cfRule>
    <cfRule type="cellIs" dxfId="2" priority="37" operator="greaterThan">
      <formula>1.201</formula>
    </cfRule>
  </conditionalFormatting>
  <conditionalFormatting sqref="F9">
    <cfRule type="expression" dxfId="1" priority="2">
      <formula>AB41=1</formula>
    </cfRule>
  </conditionalFormatting>
  <conditionalFormatting sqref="F13">
    <cfRule type="expression" dxfId="0" priority="1">
      <formula>AB41=1</formula>
    </cfRule>
  </conditionalFormatting>
  <dataValidations count="1">
    <dataValidation type="list" allowBlank="1" showInputMessage="1" showErrorMessage="1" sqref="E4" xr:uid="{00000000-0002-0000-0000-000000000000}">
      <formula1>$R$20:$R$21</formula1>
    </dataValidation>
  </dataValidations>
  <pageMargins left="0.15748031496062992" right="0.15748031496062992" top="0.98425196850393704" bottom="0.98425196850393704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C172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Qwilton Biel</cp:lastModifiedBy>
  <cp:revision/>
  <dcterms:created xsi:type="dcterms:W3CDTF">2006-12-18T22:14:36Z</dcterms:created>
  <dcterms:modified xsi:type="dcterms:W3CDTF">2020-09-07T04:53:56Z</dcterms:modified>
  <cp:category/>
  <cp:contentStatus/>
</cp:coreProperties>
</file>